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udget Package FY25\"/>
    </mc:Choice>
  </mc:AlternateContent>
  <xr:revisionPtr revIDLastSave="0" documentId="13_ncr:1_{4E9DFA84-4090-4AC2-8D1B-9C4F2FF517DC}" xr6:coauthVersionLast="47" xr6:coauthVersionMax="47" xr10:uidLastSave="{00000000-0000-0000-0000-000000000000}"/>
  <bookViews>
    <workbookView xWindow="-120" yWindow="-120" windowWidth="24240" windowHeight="13140" xr2:uid="{0A52EB6D-E169-4658-9D63-EB9528D1E1F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" i="1" l="1"/>
  <c r="I33" i="1" s="1"/>
  <c r="H32" i="1"/>
  <c r="H33" i="1" s="1"/>
  <c r="G32" i="1"/>
  <c r="G33" i="1" s="1"/>
  <c r="F32" i="1"/>
  <c r="F33" i="1" s="1"/>
  <c r="E32" i="1"/>
  <c r="E33" i="1" s="1"/>
  <c r="D32" i="1"/>
  <c r="D33" i="1" s="1"/>
  <c r="C32" i="1"/>
  <c r="C33" i="1" s="1"/>
  <c r="B32" i="1"/>
  <c r="B29" i="1"/>
  <c r="B30" i="1" s="1"/>
  <c r="C29" i="1"/>
  <c r="C30" i="1" s="1"/>
  <c r="D29" i="1"/>
  <c r="D30" i="1" s="1"/>
  <c r="E29" i="1"/>
  <c r="E30" i="1" s="1"/>
  <c r="F29" i="1"/>
  <c r="F30" i="1" s="1"/>
  <c r="G29" i="1"/>
  <c r="G30" i="1" s="1"/>
  <c r="H29" i="1"/>
  <c r="H30" i="1" s="1"/>
  <c r="I29" i="1"/>
  <c r="I30" i="1" s="1"/>
  <c r="J32" i="1"/>
  <c r="J33" i="1" s="1"/>
  <c r="J29" i="1"/>
  <c r="J30" i="1" s="1"/>
  <c r="K32" i="1"/>
  <c r="K33" i="1" s="1"/>
  <c r="K29" i="1"/>
  <c r="K30" i="1" s="1"/>
  <c r="L29" i="1"/>
  <c r="L30" i="1" s="1"/>
  <c r="L32" i="1"/>
  <c r="L33" i="1" s="1"/>
  <c r="M32" i="1"/>
  <c r="M33" i="1" s="1"/>
  <c r="M29" i="1"/>
  <c r="M30" i="1" s="1"/>
  <c r="M26" i="1"/>
  <c r="M27" i="1" s="1"/>
  <c r="L26" i="1"/>
  <c r="L27" i="1" s="1"/>
  <c r="K26" i="1"/>
  <c r="K27" i="1" s="1"/>
  <c r="J26" i="1"/>
  <c r="J27" i="1" s="1"/>
  <c r="I26" i="1"/>
  <c r="I27" i="1" s="1"/>
  <c r="H26" i="1"/>
  <c r="H27" i="1" s="1"/>
  <c r="G26" i="1"/>
  <c r="G27" i="1" s="1"/>
  <c r="F26" i="1"/>
  <c r="F27" i="1" s="1"/>
  <c r="E26" i="1"/>
  <c r="E27" i="1" s="1"/>
  <c r="D26" i="1"/>
  <c r="D27" i="1" s="1"/>
  <c r="C26" i="1"/>
  <c r="C27" i="1" s="1"/>
  <c r="B26" i="1"/>
  <c r="B27" i="1" s="1"/>
  <c r="B23" i="1"/>
  <c r="C23" i="1"/>
  <c r="C24" i="1" s="1"/>
  <c r="D23" i="1"/>
  <c r="D24" i="1" s="1"/>
  <c r="E23" i="1"/>
  <c r="F23" i="1"/>
  <c r="F24" i="1" s="1"/>
  <c r="G23" i="1"/>
  <c r="G24" i="1" s="1"/>
  <c r="H23" i="1"/>
  <c r="H24" i="1" s="1"/>
  <c r="I23" i="1"/>
  <c r="I24" i="1" s="1"/>
  <c r="J23" i="1"/>
  <c r="K23" i="1"/>
  <c r="K24" i="1" s="1"/>
  <c r="L23" i="1"/>
  <c r="L24" i="1" s="1"/>
  <c r="M23" i="1"/>
  <c r="M24" i="1" s="1"/>
  <c r="M20" i="1"/>
  <c r="L20" i="1"/>
  <c r="L21" i="1" s="1"/>
  <c r="K20" i="1"/>
  <c r="K21" i="1" s="1"/>
  <c r="J20" i="1"/>
  <c r="J21" i="1" s="1"/>
  <c r="I20" i="1"/>
  <c r="I21" i="1" s="1"/>
  <c r="H20" i="1"/>
  <c r="H21" i="1" s="1"/>
  <c r="G20" i="1"/>
  <c r="G21" i="1" s="1"/>
  <c r="F20" i="1"/>
  <c r="F21" i="1" s="1"/>
  <c r="E20" i="1"/>
  <c r="E21" i="1" s="1"/>
  <c r="D20" i="1"/>
  <c r="D21" i="1" s="1"/>
  <c r="C20" i="1"/>
  <c r="C21" i="1" s="1"/>
  <c r="B20" i="1"/>
  <c r="B21" i="1" s="1"/>
  <c r="B17" i="1"/>
  <c r="B18" i="1" s="1"/>
  <c r="C17" i="1"/>
  <c r="C18" i="1" s="1"/>
  <c r="D17" i="1"/>
  <c r="D18" i="1" s="1"/>
  <c r="E17" i="1"/>
  <c r="E18" i="1" s="1"/>
  <c r="F17" i="1"/>
  <c r="F18" i="1" s="1"/>
  <c r="G17" i="1"/>
  <c r="G18" i="1" s="1"/>
  <c r="H17" i="1"/>
  <c r="H18" i="1" s="1"/>
  <c r="I17" i="1"/>
  <c r="J17" i="1"/>
  <c r="J18" i="1" s="1"/>
  <c r="K17" i="1"/>
  <c r="K18" i="1" s="1"/>
  <c r="L17" i="1"/>
  <c r="L18" i="1" s="1"/>
  <c r="M17" i="1"/>
  <c r="M18" i="1" s="1"/>
  <c r="M14" i="1"/>
  <c r="M15" i="1" s="1"/>
  <c r="L14" i="1"/>
  <c r="L15" i="1" s="1"/>
  <c r="K14" i="1"/>
  <c r="K15" i="1" s="1"/>
  <c r="J14" i="1"/>
  <c r="J15" i="1" s="1"/>
  <c r="I14" i="1"/>
  <c r="I15" i="1" s="1"/>
  <c r="H14" i="1"/>
  <c r="H15" i="1" s="1"/>
  <c r="G14" i="1"/>
  <c r="F14" i="1"/>
  <c r="F15" i="1" s="1"/>
  <c r="E14" i="1"/>
  <c r="E15" i="1" s="1"/>
  <c r="D14" i="1"/>
  <c r="D15" i="1" s="1"/>
  <c r="C14" i="1"/>
  <c r="C15" i="1" s="1"/>
  <c r="B14" i="1"/>
  <c r="B15" i="1" s="1"/>
  <c r="H11" i="1"/>
  <c r="I11" i="1"/>
  <c r="J11" i="1"/>
  <c r="K11" i="1"/>
  <c r="L11" i="1"/>
  <c r="M11" i="1"/>
  <c r="M8" i="1"/>
  <c r="B33" i="1"/>
  <c r="J24" i="1"/>
  <c r="E24" i="1"/>
  <c r="B24" i="1"/>
  <c r="M21" i="1"/>
  <c r="I18" i="1"/>
  <c r="G15" i="1"/>
  <c r="B12" i="1"/>
  <c r="F9" i="1"/>
  <c r="E9" i="1"/>
  <c r="D9" i="1"/>
  <c r="C9" i="1"/>
  <c r="B9" i="1"/>
  <c r="G9" i="1"/>
  <c r="M6" i="1"/>
  <c r="L6" i="1"/>
  <c r="K6" i="1"/>
  <c r="J6" i="1"/>
  <c r="I6" i="1"/>
  <c r="H6" i="1"/>
  <c r="G6" i="1"/>
  <c r="F6" i="1"/>
  <c r="E6" i="1"/>
  <c r="D6" i="1"/>
  <c r="C6" i="1"/>
  <c r="B6" i="1"/>
  <c r="D12" i="1" l="1"/>
  <c r="C12" i="1"/>
  <c r="H9" i="1" l="1"/>
  <c r="E12" i="1"/>
  <c r="F12" i="1" l="1"/>
  <c r="I9" i="1"/>
  <c r="G12" i="1" l="1"/>
  <c r="J9" i="1"/>
  <c r="K9" i="1" l="1"/>
  <c r="H12" i="1"/>
  <c r="I12" i="1" l="1"/>
  <c r="L9" i="1"/>
  <c r="M9" i="1"/>
  <c r="J12" i="1" l="1"/>
  <c r="K12" i="1" l="1"/>
  <c r="M12" i="1" l="1"/>
  <c r="L12" i="1"/>
</calcChain>
</file>

<file path=xl/sharedStrings.xml><?xml version="1.0" encoding="utf-8"?>
<sst xmlns="http://schemas.openxmlformats.org/spreadsheetml/2006/main" count="56" uniqueCount="47">
  <si>
    <t>Maximum</t>
  </si>
  <si>
    <t>PUBLIC SAFETY</t>
  </si>
  <si>
    <t>HIGHWAY</t>
  </si>
  <si>
    <t>ADMIN</t>
  </si>
  <si>
    <t>OTHERS</t>
  </si>
  <si>
    <t>Grade</t>
  </si>
  <si>
    <t>I</t>
  </si>
  <si>
    <t>Treasurer File Clerk</t>
  </si>
  <si>
    <t>Annual</t>
  </si>
  <si>
    <t>II</t>
  </si>
  <si>
    <t>Town Hall Secretary</t>
  </si>
  <si>
    <t>III</t>
  </si>
  <si>
    <t>IV</t>
  </si>
  <si>
    <t>V</t>
  </si>
  <si>
    <t>Driver/Laborer</t>
  </si>
  <si>
    <t>VI</t>
  </si>
  <si>
    <t>VII</t>
  </si>
  <si>
    <t>Heavy Equip. Op./Driver/Laborer/Mech.                                  Driver w/ Class B License</t>
  </si>
  <si>
    <t>Library Assistant-Programs</t>
  </si>
  <si>
    <t>VIII</t>
  </si>
  <si>
    <t>Captain</t>
  </si>
  <si>
    <t>Master Heavy Equip. Op./Driver/Laborer/Mech.</t>
  </si>
  <si>
    <t>IX</t>
  </si>
  <si>
    <t>Assistant Chief                                  Fire Marshall</t>
  </si>
  <si>
    <t>X</t>
  </si>
  <si>
    <t>Deputy Chief</t>
  </si>
  <si>
    <t>Library Page                              Cable Video Prod. Asst.</t>
  </si>
  <si>
    <t xml:space="preserve">Based on cost of living increase of </t>
  </si>
  <si>
    <t>Summer Seasonal</t>
  </si>
  <si>
    <t>COA Director</t>
  </si>
  <si>
    <t>Local Bldg Inspector         Library Director</t>
  </si>
  <si>
    <t>Temporary Conservation Agent</t>
  </si>
  <si>
    <t>Minimum Wage</t>
  </si>
  <si>
    <t>July 1, 2024 to June 30,2025</t>
  </si>
  <si>
    <t>FY25</t>
  </si>
  <si>
    <t>Foreman-Operator/Driver/Laborer/ Mechanic</t>
  </si>
  <si>
    <t xml:space="preserve">Library Assistant                          TransferStation Manager Sr. Transfer Station Attendant </t>
  </si>
  <si>
    <t>Firefighter/EMT        Public Safety Admin</t>
  </si>
  <si>
    <t>Library Circ./Technical Services                                                                   Library Children's Services</t>
  </si>
  <si>
    <t>Accountant Clerk      Property ListerAssistant Town Clerk</t>
  </si>
  <si>
    <t>Custodian                        COA Van Driver         Transfer Station Attendant</t>
  </si>
  <si>
    <t>Heavy Equipment Operator/Driver/Laborer Bldg Maint op/laborer</t>
  </si>
  <si>
    <t>Firefighter; EMT;            EMS Coord;                 First Responder                  Fire Admin Clerk</t>
  </si>
  <si>
    <t xml:space="preserve">Admin Asst to TA       Assistant Treas/Coll     </t>
  </si>
  <si>
    <t>Assistant to Assessor     Assist to Town Accountant     Insp/Land Use Clerk</t>
  </si>
  <si>
    <t xml:space="preserve">Assessors Clerk                           1870 Town Hall Mgr          Board of Health Clerk                        </t>
  </si>
  <si>
    <t>Lieutenant          Public Safety Admin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</si>
</sst>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&quot;$&quot;#,##0.00"/>
    <numFmt numFmtId="165" formatCode="&quot;$&quot;#,##0.00"/>
    <numFmt numFmtId="166" formatCode="0.00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b/>
      <u/>
      <sz val="10"/>
      <name val="Arial Narrow"/>
      <family val="2"/>
    </font>
    <font>
      <b/>
      <u/>
      <sz val="10"/>
      <name val="Arial Black"/>
      <family val="2"/>
    </font>
    <font>
      <b/>
      <sz val="10"/>
      <name val="Arial Narrow"/>
      <family val="2"/>
    </font>
    <font>
      <sz val="10"/>
      <color rgb="FFFF000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name val="Arial Narrow"/>
      <family val="2"/>
    </font>
    <font>
      <sz val="11"/>
      <name val="Arial"/>
      <family val="2"/>
    </font>
    <font>
      <b/>
      <sz val="1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59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top"/>
    </xf>
    <xf numFmtId="0" fontId="6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44" fontId="1" fillId="0" borderId="0" xfId="0" applyNumberFormat="1" applyFont="1"/>
    <xf numFmtId="14" fontId="1" fillId="0" borderId="0" xfId="0" applyNumberFormat="1" applyFont="1"/>
    <xf numFmtId="166" fontId="1" fillId="0" borderId="7" xfId="0" applyNumberFormat="1" applyFont="1" applyBorder="1" applyAlignment="1">
      <alignment horizontal="center"/>
    </xf>
    <xf numFmtId="165" fontId="10" fillId="3" borderId="2" xfId="0" applyNumberFormat="1" applyFont="1" applyFill="1" applyBorder="1" applyAlignment="1">
      <alignment horizontal="center" wrapText="1"/>
    </xf>
    <xf numFmtId="165" fontId="10" fillId="3" borderId="2" xfId="0" applyNumberFormat="1" applyFont="1" applyFill="1" applyBorder="1" applyAlignment="1">
      <alignment horizontal="center"/>
    </xf>
    <xf numFmtId="164" fontId="10" fillId="0" borderId="2" xfId="0" applyNumberFormat="1" applyFont="1" applyBorder="1" applyAlignment="1">
      <alignment horizontal="center" wrapText="1"/>
    </xf>
    <xf numFmtId="164" fontId="10" fillId="0" borderId="2" xfId="0" applyNumberFormat="1" applyFont="1" applyBorder="1" applyAlignment="1">
      <alignment horizontal="center"/>
    </xf>
    <xf numFmtId="4" fontId="10" fillId="2" borderId="5" xfId="0" applyNumberFormat="1" applyFont="1" applyFill="1" applyBorder="1" applyAlignment="1">
      <alignment horizontal="center" wrapText="1"/>
    </xf>
    <xf numFmtId="4" fontId="10" fillId="2" borderId="6" xfId="0" applyNumberFormat="1" applyFont="1" applyFill="1" applyBorder="1" applyAlignment="1">
      <alignment horizontal="center"/>
    </xf>
    <xf numFmtId="0" fontId="10" fillId="2" borderId="0" xfId="0" applyFont="1" applyFill="1" applyAlignment="1">
      <alignment vertical="top" wrapText="1"/>
    </xf>
    <xf numFmtId="0" fontId="10" fillId="2" borderId="7" xfId="0" applyFont="1" applyFill="1" applyBorder="1" applyAlignment="1">
      <alignment vertical="top" wrapText="1"/>
    </xf>
    <xf numFmtId="165" fontId="10" fillId="0" borderId="2" xfId="0" applyNumberFormat="1" applyFont="1" applyBorder="1" applyAlignment="1">
      <alignment horizontal="center"/>
    </xf>
    <xf numFmtId="4" fontId="10" fillId="2" borderId="0" xfId="0" applyNumberFormat="1" applyFont="1" applyFill="1" applyAlignment="1">
      <alignment horizontal="center"/>
    </xf>
    <xf numFmtId="43" fontId="10" fillId="2" borderId="5" xfId="0" applyNumberFormat="1" applyFont="1" applyFill="1" applyBorder="1" applyAlignment="1">
      <alignment horizontal="center" wrapText="1"/>
    </xf>
    <xf numFmtId="43" fontId="10" fillId="2" borderId="1" xfId="0" applyNumberFormat="1" applyFont="1" applyFill="1" applyBorder="1" applyAlignment="1">
      <alignment horizontal="center"/>
    </xf>
    <xf numFmtId="43" fontId="10" fillId="2" borderId="0" xfId="0" applyNumberFormat="1" applyFont="1" applyFill="1" applyAlignment="1">
      <alignment horizontal="center"/>
    </xf>
    <xf numFmtId="0" fontId="10" fillId="2" borderId="9" xfId="0" applyFont="1" applyFill="1" applyBorder="1" applyAlignment="1">
      <alignment vertical="top" wrapText="1"/>
    </xf>
    <xf numFmtId="164" fontId="10" fillId="0" borderId="6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43" fontId="10" fillId="2" borderId="6" xfId="0" applyNumberFormat="1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 wrapText="1"/>
    </xf>
    <xf numFmtId="4" fontId="10" fillId="2" borderId="6" xfId="0" applyNumberFormat="1" applyFont="1" applyFill="1" applyBorder="1" applyAlignment="1">
      <alignment horizontal="center" wrapText="1"/>
    </xf>
    <xf numFmtId="164" fontId="10" fillId="0" borderId="10" xfId="0" applyNumberFormat="1" applyFont="1" applyBorder="1" applyAlignment="1">
      <alignment horizontal="center" wrapText="1"/>
    </xf>
    <xf numFmtId="164" fontId="10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0" fillId="2" borderId="0" xfId="0" applyFont="1" applyFill="1" applyAlignment="1">
      <alignment horizontal="left" vertical="center" wrapText="1"/>
    </xf>
    <xf numFmtId="4" fontId="10" fillId="2" borderId="6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0" fontId="0" fillId="0" borderId="2" xfId="0" applyNumberFormat="1" applyBorder="1" applyAlignment="1">
      <alignment horizontal="center" vertical="center"/>
    </xf>
    <xf numFmtId="0" fontId="10" fillId="0" borderId="3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8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44" fontId="1" fillId="0" borderId="8" xfId="1" applyFont="1" applyBorder="1" applyAlignment="1">
      <alignment horizontal="center" vertical="center" wrapText="1"/>
    </xf>
    <xf numFmtId="44" fontId="1" fillId="0" borderId="9" xfId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5EBCB1-B0B5-46AE-938F-DE674AC360EC}">
  <sheetPr>
    <pageSetUpPr fitToPage="1"/>
  </sheetPr>
  <dimension ref="A2:R35"/>
  <sheetViews>
    <sheetView tabSelected="1" zoomScale="80" zoomScaleNormal="80" workbookViewId="0">
      <selection activeCell="O23" sqref="O23:O24"/>
    </sheetView>
  </sheetViews>
  <sheetFormatPr defaultColWidth="12.5703125" defaultRowHeight="15" x14ac:dyDescent="0.25"/>
  <cols>
    <col min="1" max="1" width="7.140625" bestFit="1" customWidth="1"/>
    <col min="2" max="2" width="10.42578125" style="11" customWidth="1"/>
    <col min="3" max="13" width="10.42578125" customWidth="1"/>
    <col min="14" max="14" width="17.5703125" customWidth="1"/>
    <col min="15" max="15" width="20.42578125" style="42" customWidth="1"/>
    <col min="16" max="16" width="20.85546875" style="42" customWidth="1"/>
    <col min="17" max="17" width="21.42578125" customWidth="1"/>
  </cols>
  <sheetData>
    <row r="2" spans="1:18" ht="18" x14ac:dyDescent="0.25">
      <c r="A2" s="1"/>
      <c r="B2" s="53" t="s">
        <v>32</v>
      </c>
      <c r="C2" s="55">
        <v>15</v>
      </c>
      <c r="D2" s="1"/>
      <c r="E2" s="57" t="s">
        <v>34</v>
      </c>
      <c r="F2" s="57"/>
      <c r="G2" s="57"/>
      <c r="H2" s="57"/>
      <c r="I2" s="58" t="s">
        <v>27</v>
      </c>
      <c r="J2" s="58"/>
      <c r="K2" s="58"/>
      <c r="L2" s="58"/>
      <c r="M2" s="43">
        <v>0.02</v>
      </c>
      <c r="N2" s="14">
        <v>1.02</v>
      </c>
      <c r="O2" s="47" t="s">
        <v>33</v>
      </c>
      <c r="P2" s="48"/>
      <c r="Q2" s="49"/>
      <c r="R2" s="1"/>
    </row>
    <row r="3" spans="1:18" x14ac:dyDescent="0.25">
      <c r="A3" s="7"/>
      <c r="B3" s="54"/>
      <c r="C3" s="56"/>
      <c r="D3" s="12"/>
      <c r="E3" s="13"/>
      <c r="F3" s="12"/>
      <c r="G3" s="2"/>
      <c r="H3" s="2"/>
      <c r="I3" s="2"/>
      <c r="J3" s="2"/>
      <c r="K3" s="2"/>
      <c r="L3" s="2"/>
      <c r="M3" s="2" t="s">
        <v>0</v>
      </c>
      <c r="N3" s="3" t="s">
        <v>1</v>
      </c>
      <c r="O3" s="36" t="s">
        <v>2</v>
      </c>
      <c r="P3" s="36" t="s">
        <v>3</v>
      </c>
      <c r="Q3" s="3" t="s">
        <v>4</v>
      </c>
      <c r="R3" s="1"/>
    </row>
    <row r="4" spans="1:18" x14ac:dyDescent="0.25">
      <c r="A4" s="2" t="s">
        <v>5</v>
      </c>
      <c r="B4" s="9">
        <v>1</v>
      </c>
      <c r="C4" s="4">
        <v>2</v>
      </c>
      <c r="D4" s="4">
        <v>3</v>
      </c>
      <c r="E4" s="4">
        <v>4</v>
      </c>
      <c r="F4" s="4">
        <v>5</v>
      </c>
      <c r="G4" s="4">
        <v>6</v>
      </c>
      <c r="H4" s="4">
        <v>7</v>
      </c>
      <c r="I4" s="4">
        <v>8</v>
      </c>
      <c r="J4" s="4">
        <v>9</v>
      </c>
      <c r="K4" s="4">
        <v>10</v>
      </c>
      <c r="L4" s="4">
        <v>11</v>
      </c>
      <c r="M4" s="4">
        <v>12</v>
      </c>
      <c r="N4" s="5"/>
      <c r="O4" s="37"/>
      <c r="P4" s="38"/>
      <c r="Q4" s="5"/>
      <c r="R4" s="1"/>
    </row>
    <row r="5" spans="1:18" ht="45.75" customHeight="1" x14ac:dyDescent="0.3">
      <c r="A5" s="8" t="s">
        <v>6</v>
      </c>
      <c r="B5" s="15">
        <v>15</v>
      </c>
      <c r="C5" s="16">
        <v>15</v>
      </c>
      <c r="D5" s="16">
        <v>15</v>
      </c>
      <c r="E5" s="16">
        <v>15</v>
      </c>
      <c r="F5" s="16">
        <v>15</v>
      </c>
      <c r="G5" s="16">
        <v>15</v>
      </c>
      <c r="H5" s="16">
        <v>15</v>
      </c>
      <c r="I5" s="16">
        <v>15</v>
      </c>
      <c r="J5" s="16">
        <v>15</v>
      </c>
      <c r="K5" s="16">
        <v>15</v>
      </c>
      <c r="L5" s="16">
        <v>15</v>
      </c>
      <c r="M5" s="16">
        <v>15</v>
      </c>
      <c r="N5" s="44"/>
      <c r="O5" s="44"/>
      <c r="P5" s="44" t="s">
        <v>7</v>
      </c>
      <c r="Q5" s="44" t="s">
        <v>26</v>
      </c>
      <c r="R5" s="1"/>
    </row>
    <row r="6" spans="1:18" ht="16.5" x14ac:dyDescent="0.3">
      <c r="A6" s="8" t="s">
        <v>8</v>
      </c>
      <c r="B6" s="17">
        <f t="shared" ref="B6:M6" si="0">2080*B5</f>
        <v>31200</v>
      </c>
      <c r="C6" s="18">
        <f t="shared" si="0"/>
        <v>31200</v>
      </c>
      <c r="D6" s="18">
        <f t="shared" si="0"/>
        <v>31200</v>
      </c>
      <c r="E6" s="18">
        <f t="shared" si="0"/>
        <v>31200</v>
      </c>
      <c r="F6" s="18">
        <f t="shared" si="0"/>
        <v>31200</v>
      </c>
      <c r="G6" s="18">
        <f t="shared" si="0"/>
        <v>31200</v>
      </c>
      <c r="H6" s="18">
        <f t="shared" si="0"/>
        <v>31200</v>
      </c>
      <c r="I6" s="18">
        <f t="shared" si="0"/>
        <v>31200</v>
      </c>
      <c r="J6" s="18">
        <f t="shared" si="0"/>
        <v>31200</v>
      </c>
      <c r="K6" s="18">
        <f t="shared" si="0"/>
        <v>31200</v>
      </c>
      <c r="L6" s="18">
        <f t="shared" si="0"/>
        <v>31200</v>
      </c>
      <c r="M6" s="18">
        <f t="shared" si="0"/>
        <v>31200</v>
      </c>
      <c r="N6" s="46"/>
      <c r="O6" s="46"/>
      <c r="P6" s="46"/>
      <c r="Q6" s="46"/>
      <c r="R6" s="1"/>
    </row>
    <row r="7" spans="1:18" ht="4.5" customHeight="1" x14ac:dyDescent="0.3">
      <c r="A7" s="8"/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1"/>
      <c r="O7" s="39"/>
      <c r="P7" s="39"/>
      <c r="Q7" s="22"/>
      <c r="R7" s="1"/>
    </row>
    <row r="8" spans="1:18" ht="45.75" customHeight="1" x14ac:dyDescent="0.3">
      <c r="A8" s="8" t="s">
        <v>9</v>
      </c>
      <c r="B8" s="15">
        <v>15</v>
      </c>
      <c r="C8" s="16">
        <v>15</v>
      </c>
      <c r="D8" s="16">
        <v>15</v>
      </c>
      <c r="E8" s="16">
        <v>15</v>
      </c>
      <c r="F8" s="16">
        <v>15</v>
      </c>
      <c r="G8" s="16">
        <v>15</v>
      </c>
      <c r="H8" s="16">
        <v>15</v>
      </c>
      <c r="I8" s="16">
        <v>15</v>
      </c>
      <c r="J8" s="16">
        <v>15</v>
      </c>
      <c r="K8" s="16">
        <v>15</v>
      </c>
      <c r="L8" s="16">
        <v>15</v>
      </c>
      <c r="M8" s="16">
        <f>15.62*(N2)</f>
        <v>15.932399999999999</v>
      </c>
      <c r="N8" s="44"/>
      <c r="O8" s="44"/>
      <c r="P8" s="44" t="s">
        <v>10</v>
      </c>
      <c r="Q8" s="44"/>
      <c r="R8" s="1"/>
    </row>
    <row r="9" spans="1:18" ht="16.5" x14ac:dyDescent="0.3">
      <c r="A9" s="8" t="s">
        <v>8</v>
      </c>
      <c r="B9" s="17">
        <f t="shared" ref="B9:M9" si="1">2080*B8</f>
        <v>31200</v>
      </c>
      <c r="C9" s="18">
        <f t="shared" si="1"/>
        <v>31200</v>
      </c>
      <c r="D9" s="18">
        <f t="shared" si="1"/>
        <v>31200</v>
      </c>
      <c r="E9" s="18">
        <f t="shared" si="1"/>
        <v>31200</v>
      </c>
      <c r="F9" s="18">
        <f t="shared" si="1"/>
        <v>31200</v>
      </c>
      <c r="G9" s="18">
        <f t="shared" si="1"/>
        <v>31200</v>
      </c>
      <c r="H9" s="23">
        <f t="shared" si="1"/>
        <v>31200</v>
      </c>
      <c r="I9" s="23">
        <f t="shared" si="1"/>
        <v>31200</v>
      </c>
      <c r="J9" s="23">
        <f t="shared" si="1"/>
        <v>31200</v>
      </c>
      <c r="K9" s="23">
        <f t="shared" si="1"/>
        <v>31200</v>
      </c>
      <c r="L9" s="23">
        <f t="shared" si="1"/>
        <v>31200</v>
      </c>
      <c r="M9" s="23">
        <f t="shared" si="1"/>
        <v>33139.392</v>
      </c>
      <c r="N9" s="46"/>
      <c r="O9" s="46"/>
      <c r="P9" s="46"/>
      <c r="Q9" s="46"/>
      <c r="R9" s="1"/>
    </row>
    <row r="10" spans="1:18" ht="4.5" customHeight="1" x14ac:dyDescent="0.3">
      <c r="A10" s="8"/>
      <c r="B10" s="19"/>
      <c r="C10" s="20"/>
      <c r="D10" s="20"/>
      <c r="E10" s="20"/>
      <c r="F10" s="20"/>
      <c r="G10" s="24"/>
      <c r="H10" s="24"/>
      <c r="I10" s="24"/>
      <c r="J10" s="24"/>
      <c r="K10" s="24"/>
      <c r="L10" s="24"/>
      <c r="M10" s="24"/>
      <c r="N10" s="21"/>
      <c r="O10" s="39"/>
      <c r="P10" s="39"/>
      <c r="Q10" s="21"/>
      <c r="R10" s="1"/>
    </row>
    <row r="11" spans="1:18" ht="45.75" customHeight="1" x14ac:dyDescent="0.3">
      <c r="A11" s="8" t="s">
        <v>11</v>
      </c>
      <c r="B11" s="15">
        <v>15</v>
      </c>
      <c r="C11" s="16">
        <v>15</v>
      </c>
      <c r="D11" s="16">
        <v>15</v>
      </c>
      <c r="E11" s="16">
        <v>15</v>
      </c>
      <c r="F11" s="16">
        <v>15</v>
      </c>
      <c r="G11" s="16">
        <v>15</v>
      </c>
      <c r="H11" s="16">
        <f>15.38*(N2)</f>
        <v>15.687600000000002</v>
      </c>
      <c r="I11" s="23">
        <f>15.62*(N2)</f>
        <v>15.932399999999999</v>
      </c>
      <c r="J11" s="23">
        <f>15.93*(N2)</f>
        <v>16.2486</v>
      </c>
      <c r="K11" s="23">
        <f>16.25*(N2)</f>
        <v>16.574999999999999</v>
      </c>
      <c r="L11" s="23">
        <f>16.57*(N2)</f>
        <v>16.901399999999999</v>
      </c>
      <c r="M11" s="23">
        <f>16.9*(N2)</f>
        <v>17.238</v>
      </c>
      <c r="N11" s="44"/>
      <c r="O11" s="44"/>
      <c r="P11" s="51"/>
      <c r="Q11" s="51"/>
      <c r="R11" s="1"/>
    </row>
    <row r="12" spans="1:18" ht="21" customHeight="1" x14ac:dyDescent="0.3">
      <c r="A12" s="8" t="s">
        <v>8</v>
      </c>
      <c r="B12" s="17">
        <f t="shared" ref="B12:M12" si="2">2080*B11</f>
        <v>31200</v>
      </c>
      <c r="C12" s="18">
        <f t="shared" si="2"/>
        <v>31200</v>
      </c>
      <c r="D12" s="18">
        <f t="shared" si="2"/>
        <v>31200</v>
      </c>
      <c r="E12" s="18">
        <f t="shared" si="2"/>
        <v>31200</v>
      </c>
      <c r="F12" s="18">
        <f t="shared" si="2"/>
        <v>31200</v>
      </c>
      <c r="G12" s="18">
        <f t="shared" si="2"/>
        <v>31200</v>
      </c>
      <c r="H12" s="18">
        <f t="shared" si="2"/>
        <v>32630.208000000002</v>
      </c>
      <c r="I12" s="18">
        <f t="shared" si="2"/>
        <v>33139.392</v>
      </c>
      <c r="J12" s="18">
        <f t="shared" si="2"/>
        <v>33797.087999999996</v>
      </c>
      <c r="K12" s="18">
        <f t="shared" si="2"/>
        <v>34476</v>
      </c>
      <c r="L12" s="18">
        <f t="shared" si="2"/>
        <v>35154.911999999997</v>
      </c>
      <c r="M12" s="18">
        <f t="shared" si="2"/>
        <v>35855.040000000001</v>
      </c>
      <c r="N12" s="46"/>
      <c r="O12" s="46"/>
      <c r="P12" s="52"/>
      <c r="Q12" s="52"/>
      <c r="R12" s="1"/>
    </row>
    <row r="13" spans="1:18" ht="4.5" customHeight="1" x14ac:dyDescent="0.3">
      <c r="A13" s="8"/>
      <c r="B13" s="25"/>
      <c r="C13" s="26"/>
      <c r="D13" s="26"/>
      <c r="E13" s="26"/>
      <c r="F13" s="26"/>
      <c r="G13" s="27"/>
      <c r="H13" s="27"/>
      <c r="I13" s="27"/>
      <c r="J13" s="27"/>
      <c r="K13" s="27"/>
      <c r="L13" s="27"/>
      <c r="M13" s="27"/>
      <c r="N13" s="21"/>
      <c r="O13" s="39"/>
      <c r="P13" s="39"/>
      <c r="Q13" s="28"/>
      <c r="R13" s="1"/>
    </row>
    <row r="14" spans="1:18" ht="45.75" customHeight="1" x14ac:dyDescent="0.3">
      <c r="A14" s="8" t="s">
        <v>12</v>
      </c>
      <c r="B14" s="17">
        <f>15.61*(N2)</f>
        <v>15.9222</v>
      </c>
      <c r="C14" s="18">
        <f>15.99*(N2)</f>
        <v>16.309799999999999</v>
      </c>
      <c r="D14" s="18">
        <f>16.34*(N2)</f>
        <v>16.666799999999999</v>
      </c>
      <c r="E14" s="18">
        <f>16.69*(N2)</f>
        <v>17.023800000000001</v>
      </c>
      <c r="F14" s="18">
        <f>17.06*(N2)</f>
        <v>17.401199999999999</v>
      </c>
      <c r="G14" s="18">
        <f>17.48*(N2)</f>
        <v>17.829599999999999</v>
      </c>
      <c r="H14" s="18">
        <f>17.85*(N2)</f>
        <v>18.207000000000001</v>
      </c>
      <c r="I14" s="18">
        <f>18.27*(N2)</f>
        <v>18.635400000000001</v>
      </c>
      <c r="J14" s="18">
        <f>18.7*(N2)</f>
        <v>19.073999999999998</v>
      </c>
      <c r="K14" s="18">
        <f>19.09*(N2)</f>
        <v>19.471800000000002</v>
      </c>
      <c r="L14" s="18">
        <f>19.52*(N2)</f>
        <v>19.910399999999999</v>
      </c>
      <c r="M14" s="18">
        <f>19.94*(N2)</f>
        <v>20.338800000000003</v>
      </c>
      <c r="N14" s="51"/>
      <c r="O14" s="44" t="s">
        <v>28</v>
      </c>
      <c r="P14" s="44"/>
      <c r="Q14" s="44" t="s">
        <v>40</v>
      </c>
      <c r="R14" s="1"/>
    </row>
    <row r="15" spans="1:18" ht="21" customHeight="1" x14ac:dyDescent="0.3">
      <c r="A15" s="8" t="s">
        <v>8</v>
      </c>
      <c r="B15" s="17">
        <f t="shared" ref="B15:M15" si="3">2080*B14</f>
        <v>33118.175999999999</v>
      </c>
      <c r="C15" s="29">
        <f t="shared" si="3"/>
        <v>33924.383999999998</v>
      </c>
      <c r="D15" s="18">
        <f t="shared" si="3"/>
        <v>34666.943999999996</v>
      </c>
      <c r="E15" s="29">
        <f t="shared" si="3"/>
        <v>35409.504000000001</v>
      </c>
      <c r="F15" s="18">
        <f t="shared" si="3"/>
        <v>36194.495999999999</v>
      </c>
      <c r="G15" s="30">
        <f t="shared" si="3"/>
        <v>37085.567999999999</v>
      </c>
      <c r="H15" s="18">
        <f t="shared" si="3"/>
        <v>37870.560000000005</v>
      </c>
      <c r="I15" s="30">
        <f t="shared" si="3"/>
        <v>38761.631999999998</v>
      </c>
      <c r="J15" s="18">
        <f t="shared" si="3"/>
        <v>39673.919999999998</v>
      </c>
      <c r="K15" s="30">
        <f t="shared" si="3"/>
        <v>40501.344000000005</v>
      </c>
      <c r="L15" s="18">
        <f t="shared" si="3"/>
        <v>41413.631999999998</v>
      </c>
      <c r="M15" s="18">
        <f t="shared" si="3"/>
        <v>42304.704000000005</v>
      </c>
      <c r="N15" s="52"/>
      <c r="O15" s="46"/>
      <c r="P15" s="46"/>
      <c r="Q15" s="46"/>
      <c r="R15" s="1"/>
    </row>
    <row r="16" spans="1:18" ht="4.5" customHeight="1" x14ac:dyDescent="0.3">
      <c r="A16" s="8"/>
      <c r="B16" s="25"/>
      <c r="C16" s="31"/>
      <c r="D16" s="31"/>
      <c r="E16" s="31"/>
      <c r="F16" s="31"/>
      <c r="G16" s="26"/>
      <c r="H16" s="26"/>
      <c r="I16" s="26"/>
      <c r="J16" s="26"/>
      <c r="K16" s="26"/>
      <c r="L16" s="26"/>
      <c r="M16" s="26"/>
      <c r="N16" s="21"/>
      <c r="O16" s="39"/>
      <c r="P16" s="39"/>
      <c r="Q16" s="22"/>
      <c r="R16" s="1"/>
    </row>
    <row r="17" spans="1:18" ht="45.75" customHeight="1" x14ac:dyDescent="0.3">
      <c r="A17" s="8" t="s">
        <v>13</v>
      </c>
      <c r="B17" s="17">
        <f>18.76*(N2)</f>
        <v>19.135200000000001</v>
      </c>
      <c r="C17" s="18">
        <f>19.17*(N2)</f>
        <v>19.553400000000003</v>
      </c>
      <c r="D17" s="18">
        <f>19.59*(N2)</f>
        <v>19.9818</v>
      </c>
      <c r="E17" s="18">
        <f>20.03*(N2)</f>
        <v>20.430600000000002</v>
      </c>
      <c r="F17" s="18">
        <f>20.47*(N2)</f>
        <v>20.8794</v>
      </c>
      <c r="G17" s="18">
        <f>20.95*(N2)</f>
        <v>21.369</v>
      </c>
      <c r="H17" s="18">
        <f>21.42*(N2)</f>
        <v>21.848400000000002</v>
      </c>
      <c r="I17" s="18">
        <f>21.9*(N2)</f>
        <v>22.337999999999997</v>
      </c>
      <c r="J17" s="18">
        <f>22.41*(N2)</f>
        <v>22.8582</v>
      </c>
      <c r="K17" s="18">
        <f>22.89*(N2)</f>
        <v>23.347799999999999</v>
      </c>
      <c r="L17" s="18">
        <f>23.42*(N2)</f>
        <v>23.888400000000001</v>
      </c>
      <c r="M17" s="18">
        <f>23.94*(N2)</f>
        <v>24.418800000000001</v>
      </c>
      <c r="N17" s="44" t="s">
        <v>42</v>
      </c>
      <c r="O17" s="44" t="s">
        <v>14</v>
      </c>
      <c r="P17" s="44" t="s">
        <v>45</v>
      </c>
      <c r="Q17" s="44" t="s">
        <v>36</v>
      </c>
      <c r="R17" s="1"/>
    </row>
    <row r="18" spans="1:18" ht="21" customHeight="1" x14ac:dyDescent="0.3">
      <c r="A18" s="8" t="s">
        <v>8</v>
      </c>
      <c r="B18" s="17">
        <f t="shared" ref="B18:M18" si="4">2080*B17</f>
        <v>39801.216</v>
      </c>
      <c r="C18" s="18">
        <f t="shared" si="4"/>
        <v>40671.072000000007</v>
      </c>
      <c r="D18" s="18">
        <f t="shared" si="4"/>
        <v>41562.144</v>
      </c>
      <c r="E18" s="18">
        <f t="shared" si="4"/>
        <v>42495.648000000001</v>
      </c>
      <c r="F18" s="18">
        <f t="shared" si="4"/>
        <v>43429.152000000002</v>
      </c>
      <c r="G18" s="18">
        <f t="shared" si="4"/>
        <v>44447.519999999997</v>
      </c>
      <c r="H18" s="18">
        <f t="shared" si="4"/>
        <v>45444.672000000006</v>
      </c>
      <c r="I18" s="18">
        <f t="shared" si="4"/>
        <v>46463.039999999994</v>
      </c>
      <c r="J18" s="18">
        <f t="shared" si="4"/>
        <v>47545.055999999997</v>
      </c>
      <c r="K18" s="18">
        <f t="shared" si="4"/>
        <v>48563.423999999999</v>
      </c>
      <c r="L18" s="18">
        <f t="shared" si="4"/>
        <v>49687.872000000003</v>
      </c>
      <c r="M18" s="18">
        <f t="shared" si="4"/>
        <v>50791.103999999999</v>
      </c>
      <c r="N18" s="46"/>
      <c r="O18" s="46"/>
      <c r="P18" s="46"/>
      <c r="Q18" s="46"/>
      <c r="R18" s="1"/>
    </row>
    <row r="19" spans="1:18" ht="4.5" customHeight="1" x14ac:dyDescent="0.3">
      <c r="A19" s="8"/>
      <c r="B19" s="25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1"/>
      <c r="O19" s="39"/>
      <c r="P19" s="39"/>
      <c r="Q19" s="22"/>
      <c r="R19" s="1"/>
    </row>
    <row r="20" spans="1:18" ht="45.75" customHeight="1" x14ac:dyDescent="0.3">
      <c r="A20" s="8" t="s">
        <v>15</v>
      </c>
      <c r="B20" s="17">
        <f>20.93*(N2)</f>
        <v>21.348600000000001</v>
      </c>
      <c r="C20" s="18">
        <f>21.4*(N2)</f>
        <v>21.827999999999999</v>
      </c>
      <c r="D20" s="18">
        <f>21.89*(N2)</f>
        <v>22.3278</v>
      </c>
      <c r="E20" s="18">
        <f>22.4*(N2)</f>
        <v>22.847999999999999</v>
      </c>
      <c r="F20" s="18">
        <f>22.88*(N2)</f>
        <v>23.337599999999998</v>
      </c>
      <c r="G20" s="18">
        <f>23.4*(N2)</f>
        <v>23.867999999999999</v>
      </c>
      <c r="H20" s="18">
        <f>23.93*(N2)</f>
        <v>24.4086</v>
      </c>
      <c r="I20" s="18">
        <f>24.47*(N2)</f>
        <v>24.959399999999999</v>
      </c>
      <c r="J20" s="18">
        <f>25.01*(N2)</f>
        <v>25.510200000000001</v>
      </c>
      <c r="K20" s="18">
        <f>25.58*(N2)</f>
        <v>26.0916</v>
      </c>
      <c r="L20" s="18">
        <f>26.16*(N2)</f>
        <v>26.683199999999999</v>
      </c>
      <c r="M20" s="18">
        <f>26.75*(N2)</f>
        <v>27.285</v>
      </c>
      <c r="N20" s="44" t="s">
        <v>37</v>
      </c>
      <c r="O20" s="50" t="s">
        <v>41</v>
      </c>
      <c r="P20" s="44" t="s">
        <v>39</v>
      </c>
      <c r="Q20" s="44" t="s">
        <v>38</v>
      </c>
      <c r="R20" s="1"/>
    </row>
    <row r="21" spans="1:18" ht="21" customHeight="1" x14ac:dyDescent="0.3">
      <c r="A21" s="8" t="s">
        <v>8</v>
      </c>
      <c r="B21" s="17">
        <f>2080*B20</f>
        <v>44405.088000000003</v>
      </c>
      <c r="C21" s="18">
        <f t="shared" ref="C21:M21" si="5">2080*C20</f>
        <v>45402.239999999998</v>
      </c>
      <c r="D21" s="18">
        <f t="shared" si="5"/>
        <v>46441.824000000001</v>
      </c>
      <c r="E21" s="18">
        <f t="shared" si="5"/>
        <v>47523.839999999997</v>
      </c>
      <c r="F21" s="18">
        <f t="shared" si="5"/>
        <v>48542.207999999999</v>
      </c>
      <c r="G21" s="18">
        <f t="shared" si="5"/>
        <v>49645.439999999995</v>
      </c>
      <c r="H21" s="18">
        <f t="shared" si="5"/>
        <v>50769.887999999999</v>
      </c>
      <c r="I21" s="18">
        <f t="shared" si="5"/>
        <v>51915.551999999996</v>
      </c>
      <c r="J21" s="18">
        <f t="shared" si="5"/>
        <v>53061.216</v>
      </c>
      <c r="K21" s="18">
        <f t="shared" si="5"/>
        <v>54270.527999999998</v>
      </c>
      <c r="L21" s="18">
        <f t="shared" si="5"/>
        <v>55501.055999999997</v>
      </c>
      <c r="M21" s="18">
        <f t="shared" si="5"/>
        <v>56752.800000000003</v>
      </c>
      <c r="N21" s="46"/>
      <c r="O21" s="46"/>
      <c r="P21" s="46"/>
      <c r="Q21" s="46"/>
      <c r="R21" s="1"/>
    </row>
    <row r="22" spans="1:18" ht="4.5" customHeight="1" x14ac:dyDescent="0.3">
      <c r="A22" s="1"/>
      <c r="B22" s="32"/>
      <c r="C22" s="26"/>
      <c r="D22" s="26"/>
      <c r="E22" s="26"/>
      <c r="F22" s="26"/>
      <c r="G22" s="27"/>
      <c r="H22" s="27"/>
      <c r="I22" s="27"/>
      <c r="J22" s="27"/>
      <c r="K22" s="27"/>
      <c r="L22" s="27"/>
      <c r="M22" s="27"/>
      <c r="N22" s="21"/>
      <c r="O22" s="39"/>
      <c r="P22" s="39"/>
      <c r="Q22" s="22"/>
      <c r="R22" s="1"/>
    </row>
    <row r="23" spans="1:18" ht="45.75" customHeight="1" x14ac:dyDescent="0.3">
      <c r="A23" s="8" t="s">
        <v>16</v>
      </c>
      <c r="B23" s="17">
        <f>23.44*(N2)</f>
        <v>23.908800000000003</v>
      </c>
      <c r="C23" s="18">
        <f>23.95*(N2)</f>
        <v>24.428999999999998</v>
      </c>
      <c r="D23" s="18">
        <f>24.51*(N2)</f>
        <v>25.000200000000003</v>
      </c>
      <c r="E23" s="18">
        <f>25.05*(N2)</f>
        <v>25.551000000000002</v>
      </c>
      <c r="F23" s="18">
        <f>25.64*(N2)</f>
        <v>26.152800000000003</v>
      </c>
      <c r="G23" s="18">
        <f>26.2*(N2)</f>
        <v>26.724</v>
      </c>
      <c r="H23" s="18">
        <f>26.78*(N2)</f>
        <v>27.3156</v>
      </c>
      <c r="I23" s="18">
        <f>27.39*(N2)</f>
        <v>27.937799999999999</v>
      </c>
      <c r="J23" s="18">
        <f>28.01*(N2)</f>
        <v>28.570200000000003</v>
      </c>
      <c r="K23" s="18">
        <f>28.63*(N2)</f>
        <v>29.2026</v>
      </c>
      <c r="L23" s="18">
        <f>29.28*(N2)</f>
        <v>29.865600000000001</v>
      </c>
      <c r="M23" s="18">
        <f>29.93*(N2)</f>
        <v>30.528600000000001</v>
      </c>
      <c r="N23" s="44" t="s">
        <v>46</v>
      </c>
      <c r="O23" s="44" t="s">
        <v>17</v>
      </c>
      <c r="P23" s="44" t="s">
        <v>44</v>
      </c>
      <c r="Q23" s="44" t="s">
        <v>18</v>
      </c>
      <c r="R23" s="1"/>
    </row>
    <row r="24" spans="1:18" ht="21" customHeight="1" x14ac:dyDescent="0.3">
      <c r="A24" s="8" t="s">
        <v>8</v>
      </c>
      <c r="B24" s="17">
        <f t="shared" ref="B24:M24" si="6">2080*B23</f>
        <v>49730.304000000004</v>
      </c>
      <c r="C24" s="18">
        <f t="shared" si="6"/>
        <v>50812.32</v>
      </c>
      <c r="D24" s="18">
        <f t="shared" si="6"/>
        <v>52000.416000000005</v>
      </c>
      <c r="E24" s="18">
        <f t="shared" si="6"/>
        <v>53146.080000000002</v>
      </c>
      <c r="F24" s="18">
        <f t="shared" si="6"/>
        <v>54397.824000000008</v>
      </c>
      <c r="G24" s="18">
        <f t="shared" si="6"/>
        <v>55585.919999999998</v>
      </c>
      <c r="H24" s="18">
        <f t="shared" si="6"/>
        <v>56816.447999999997</v>
      </c>
      <c r="I24" s="18">
        <f t="shared" si="6"/>
        <v>58110.623999999996</v>
      </c>
      <c r="J24" s="18">
        <f t="shared" si="6"/>
        <v>59426.016000000011</v>
      </c>
      <c r="K24" s="18">
        <f t="shared" si="6"/>
        <v>60741.408000000003</v>
      </c>
      <c r="L24" s="18">
        <f t="shared" si="6"/>
        <v>62120.448000000004</v>
      </c>
      <c r="M24" s="18">
        <f t="shared" si="6"/>
        <v>63499.488000000005</v>
      </c>
      <c r="N24" s="46"/>
      <c r="O24" s="52"/>
      <c r="P24" s="46"/>
      <c r="Q24" s="46"/>
      <c r="R24" s="1"/>
    </row>
    <row r="25" spans="1:18" ht="4.5" customHeight="1" x14ac:dyDescent="0.3">
      <c r="A25" s="8"/>
      <c r="B25" s="25"/>
      <c r="C25" s="26"/>
      <c r="D25" s="26"/>
      <c r="E25" s="26"/>
      <c r="F25" s="26"/>
      <c r="G25" s="27"/>
      <c r="H25" s="27"/>
      <c r="I25" s="27"/>
      <c r="J25" s="27"/>
      <c r="K25" s="27"/>
      <c r="L25" s="27"/>
      <c r="M25" s="27"/>
      <c r="N25" s="21"/>
      <c r="O25" s="39"/>
      <c r="P25" s="39"/>
      <c r="Q25" s="22"/>
      <c r="R25" s="1"/>
    </row>
    <row r="26" spans="1:18" ht="45.75" customHeight="1" x14ac:dyDescent="0.3">
      <c r="A26" s="8" t="s">
        <v>19</v>
      </c>
      <c r="B26" s="17">
        <f>26.56*(N2)</f>
        <v>27.091200000000001</v>
      </c>
      <c r="C26" s="18">
        <f>27.15*(N2)</f>
        <v>27.692999999999998</v>
      </c>
      <c r="D26" s="18">
        <f>27.76*(N2)</f>
        <v>28.315200000000001</v>
      </c>
      <c r="E26" s="18">
        <f>28.38*(N2)</f>
        <v>28.947599999999998</v>
      </c>
      <c r="F26" s="18">
        <f>29.04*(N2)</f>
        <v>29.620799999999999</v>
      </c>
      <c r="G26" s="18">
        <f>29.7*(N2)</f>
        <v>30.294</v>
      </c>
      <c r="H26" s="18">
        <f>30.36*(N2)</f>
        <v>30.967199999999998</v>
      </c>
      <c r="I26" s="18">
        <f>31.04*(N2)</f>
        <v>31.660799999999998</v>
      </c>
      <c r="J26" s="18">
        <f>31.7*(N2)</f>
        <v>32.334000000000003</v>
      </c>
      <c r="K26" s="18">
        <f>32.44*(N2)</f>
        <v>33.088799999999999</v>
      </c>
      <c r="L26" s="18">
        <f>33.17*(N2)</f>
        <v>33.833400000000005</v>
      </c>
      <c r="M26" s="18">
        <f>33.92*(N2)</f>
        <v>34.598400000000005</v>
      </c>
      <c r="N26" s="44" t="s">
        <v>20</v>
      </c>
      <c r="O26" s="44" t="s">
        <v>21</v>
      </c>
      <c r="P26" s="44" t="s">
        <v>43</v>
      </c>
      <c r="Q26" s="44" t="s">
        <v>31</v>
      </c>
      <c r="R26" s="1"/>
    </row>
    <row r="27" spans="1:18" ht="21" customHeight="1" x14ac:dyDescent="0.3">
      <c r="A27" s="8" t="s">
        <v>8</v>
      </c>
      <c r="B27" s="17">
        <f t="shared" ref="B27:M27" si="7">2080*B26</f>
        <v>56349.696000000004</v>
      </c>
      <c r="C27" s="18">
        <f t="shared" si="7"/>
        <v>57601.439999999995</v>
      </c>
      <c r="D27" s="18">
        <f t="shared" si="7"/>
        <v>58895.616000000002</v>
      </c>
      <c r="E27" s="18">
        <f t="shared" si="7"/>
        <v>60211.007999999994</v>
      </c>
      <c r="F27" s="18">
        <f t="shared" si="7"/>
        <v>61611.263999999996</v>
      </c>
      <c r="G27" s="18">
        <f t="shared" si="7"/>
        <v>63011.520000000004</v>
      </c>
      <c r="H27" s="18">
        <f t="shared" si="7"/>
        <v>64411.775999999998</v>
      </c>
      <c r="I27" s="18">
        <f t="shared" si="7"/>
        <v>65854.463999999993</v>
      </c>
      <c r="J27" s="18">
        <f t="shared" si="7"/>
        <v>67254.720000000001</v>
      </c>
      <c r="K27" s="18">
        <f t="shared" si="7"/>
        <v>68824.703999999998</v>
      </c>
      <c r="L27" s="18">
        <f t="shared" si="7"/>
        <v>70373.472000000009</v>
      </c>
      <c r="M27" s="18">
        <f t="shared" si="7"/>
        <v>71964.672000000006</v>
      </c>
      <c r="N27" s="46"/>
      <c r="O27" s="52"/>
      <c r="P27" s="46"/>
      <c r="Q27" s="46"/>
      <c r="R27" s="1"/>
    </row>
    <row r="28" spans="1:18" ht="4.5" customHeight="1" x14ac:dyDescent="0.3">
      <c r="A28" s="8"/>
      <c r="B28" s="25"/>
      <c r="C28" s="26"/>
      <c r="D28" s="26"/>
      <c r="E28" s="26"/>
      <c r="F28" s="26"/>
      <c r="G28" s="27"/>
      <c r="H28" s="27"/>
      <c r="I28" s="27"/>
      <c r="J28" s="27"/>
      <c r="K28" s="27"/>
      <c r="L28" s="27"/>
      <c r="M28" s="27"/>
      <c r="N28" s="21"/>
      <c r="O28" s="39"/>
      <c r="P28" s="39"/>
      <c r="Q28" s="22"/>
      <c r="R28" s="1"/>
    </row>
    <row r="29" spans="1:18" ht="45.75" customHeight="1" x14ac:dyDescent="0.3">
      <c r="A29" s="8" t="s">
        <v>22</v>
      </c>
      <c r="B29" s="17">
        <f>29.68*(N2)</f>
        <v>30.273600000000002</v>
      </c>
      <c r="C29" s="18">
        <f>30.35*(N2)</f>
        <v>30.957000000000001</v>
      </c>
      <c r="D29" s="18">
        <f>31*(N2)</f>
        <v>31.62</v>
      </c>
      <c r="E29" s="18">
        <f>31.7*(N2)</f>
        <v>32.334000000000003</v>
      </c>
      <c r="F29" s="18">
        <f>32.42*(N2)</f>
        <v>33.068400000000004</v>
      </c>
      <c r="G29" s="18">
        <f>33.16*(N2)</f>
        <v>33.8232</v>
      </c>
      <c r="H29" s="18">
        <f>33.91*(N2)</f>
        <v>34.588200000000001</v>
      </c>
      <c r="I29" s="18">
        <f>34.68*(N2)</f>
        <v>35.373600000000003</v>
      </c>
      <c r="J29" s="18">
        <f>35.44*(N2)</f>
        <v>36.148800000000001</v>
      </c>
      <c r="K29" s="18">
        <f>36.24*(N2)</f>
        <v>36.964800000000004</v>
      </c>
      <c r="L29" s="18">
        <f>37.04*(N2)</f>
        <v>37.780799999999999</v>
      </c>
      <c r="M29" s="18">
        <f>37.9*(N2)</f>
        <v>38.658000000000001</v>
      </c>
      <c r="N29" s="44" t="s">
        <v>23</v>
      </c>
      <c r="O29" s="44" t="s">
        <v>35</v>
      </c>
      <c r="P29" s="44" t="s">
        <v>29</v>
      </c>
      <c r="Q29" s="44"/>
      <c r="R29" s="1"/>
    </row>
    <row r="30" spans="1:18" ht="21" customHeight="1" x14ac:dyDescent="0.3">
      <c r="A30" s="8" t="s">
        <v>8</v>
      </c>
      <c r="B30" s="17">
        <f t="shared" ref="B30:M30" si="8">2080*B29</f>
        <v>62969.088000000003</v>
      </c>
      <c r="C30" s="18">
        <f t="shared" si="8"/>
        <v>64390.560000000005</v>
      </c>
      <c r="D30" s="18">
        <f t="shared" si="8"/>
        <v>65769.600000000006</v>
      </c>
      <c r="E30" s="18">
        <f t="shared" si="8"/>
        <v>67254.720000000001</v>
      </c>
      <c r="F30" s="18">
        <f t="shared" si="8"/>
        <v>68782.272000000012</v>
      </c>
      <c r="G30" s="18">
        <f t="shared" si="8"/>
        <v>70352.255999999994</v>
      </c>
      <c r="H30" s="18">
        <f t="shared" si="8"/>
        <v>71943.456000000006</v>
      </c>
      <c r="I30" s="18">
        <f t="shared" si="8"/>
        <v>73577.088000000003</v>
      </c>
      <c r="J30" s="18">
        <f t="shared" si="8"/>
        <v>75189.504000000001</v>
      </c>
      <c r="K30" s="18">
        <f t="shared" si="8"/>
        <v>76886.784000000014</v>
      </c>
      <c r="L30" s="18">
        <f t="shared" si="8"/>
        <v>78584.063999999998</v>
      </c>
      <c r="M30" s="18">
        <f t="shared" si="8"/>
        <v>80408.639999999999</v>
      </c>
      <c r="N30" s="46"/>
      <c r="O30" s="46"/>
      <c r="P30" s="46"/>
      <c r="Q30" s="46"/>
      <c r="R30" s="1"/>
    </row>
    <row r="31" spans="1:18" ht="4.5" customHeight="1" x14ac:dyDescent="0.3">
      <c r="A31" s="8"/>
      <c r="B31" s="19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33"/>
      <c r="O31" s="40"/>
      <c r="P31" s="40"/>
      <c r="Q31" s="33"/>
      <c r="R31" s="1"/>
    </row>
    <row r="32" spans="1:18" ht="45.75" customHeight="1" x14ac:dyDescent="0.3">
      <c r="A32" s="8" t="s">
        <v>24</v>
      </c>
      <c r="B32" s="17">
        <f>33.24*(N2)</f>
        <v>33.904800000000002</v>
      </c>
      <c r="C32" s="18">
        <f>33.99*(N2)</f>
        <v>34.669800000000002</v>
      </c>
      <c r="D32" s="18">
        <f>34.72*(N2)</f>
        <v>35.414400000000001</v>
      </c>
      <c r="E32" s="18">
        <f>35.52*(N2)</f>
        <v>36.230400000000003</v>
      </c>
      <c r="F32" s="18">
        <f>36.31*(N2)</f>
        <v>37.036200000000001</v>
      </c>
      <c r="G32" s="18">
        <f>37.16*(N2)</f>
        <v>37.903199999999998</v>
      </c>
      <c r="H32" s="18">
        <f>37.97*(N2)</f>
        <v>38.729399999999998</v>
      </c>
      <c r="I32" s="18">
        <f>38.84*(N2)</f>
        <v>39.616800000000005</v>
      </c>
      <c r="J32" s="18">
        <f>39.71*(N2)</f>
        <v>40.504200000000004</v>
      </c>
      <c r="K32" s="18">
        <f>40.6*(N2)</f>
        <v>41.411999999999999</v>
      </c>
      <c r="L32" s="18">
        <f>41.5*(N2)</f>
        <v>42.33</v>
      </c>
      <c r="M32" s="18">
        <f>42.49*(N2)</f>
        <v>43.339800000000004</v>
      </c>
      <c r="N32" s="44" t="s">
        <v>25</v>
      </c>
      <c r="O32" s="44"/>
      <c r="P32" s="44"/>
      <c r="Q32" s="44" t="s">
        <v>30</v>
      </c>
      <c r="R32" s="1"/>
    </row>
    <row r="33" spans="1:18" ht="21" customHeight="1" thickBot="1" x14ac:dyDescent="0.35">
      <c r="A33" s="8" t="s">
        <v>8</v>
      </c>
      <c r="B33" s="34">
        <f>2080*B32</f>
        <v>70521.983999999997</v>
      </c>
      <c r="C33" s="35">
        <f t="shared" ref="C33:M33" si="9">2080*C32</f>
        <v>72113.184000000008</v>
      </c>
      <c r="D33" s="35">
        <f t="shared" si="9"/>
        <v>73661.952000000005</v>
      </c>
      <c r="E33" s="35">
        <f t="shared" si="9"/>
        <v>75359.232000000004</v>
      </c>
      <c r="F33" s="35">
        <f t="shared" si="9"/>
        <v>77035.296000000002</v>
      </c>
      <c r="G33" s="35">
        <f t="shared" si="9"/>
        <v>78838.656000000003</v>
      </c>
      <c r="H33" s="35">
        <f t="shared" si="9"/>
        <v>80557.152000000002</v>
      </c>
      <c r="I33" s="35">
        <f t="shared" si="9"/>
        <v>82402.944000000003</v>
      </c>
      <c r="J33" s="35">
        <f t="shared" si="9"/>
        <v>84248.736000000004</v>
      </c>
      <c r="K33" s="35">
        <f t="shared" si="9"/>
        <v>86136.959999999992</v>
      </c>
      <c r="L33" s="35">
        <f t="shared" si="9"/>
        <v>88046.399999999994</v>
      </c>
      <c r="M33" s="35">
        <f t="shared" si="9"/>
        <v>90146.784000000014</v>
      </c>
      <c r="N33" s="45"/>
      <c r="O33" s="45"/>
      <c r="P33" s="45"/>
      <c r="Q33" s="45"/>
      <c r="R33" s="1"/>
    </row>
    <row r="34" spans="1:18" ht="15.75" thickTop="1" x14ac:dyDescent="0.25">
      <c r="A34" s="1"/>
      <c r="B34" s="10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41"/>
      <c r="P34" s="41"/>
      <c r="Q34" s="1"/>
      <c r="R34" s="1"/>
    </row>
    <row r="35" spans="1:18" x14ac:dyDescent="0.25">
      <c r="A35" s="1"/>
      <c r="B35" s="10"/>
      <c r="C35" s="1"/>
      <c r="D35" s="1"/>
      <c r="E35" s="1"/>
      <c r="F35" s="1"/>
      <c r="G35" s="1"/>
      <c r="H35" s="1"/>
      <c r="I35" s="1"/>
      <c r="J35" s="1"/>
      <c r="K35" s="1"/>
      <c r="L35" s="6"/>
      <c r="M35" s="1"/>
      <c r="N35" s="1"/>
      <c r="O35" s="41"/>
      <c r="P35" s="41"/>
      <c r="Q35" s="1"/>
      <c r="R35" s="1"/>
    </row>
  </sheetData>
  <mergeCells count="45">
    <mergeCell ref="N11:N12"/>
    <mergeCell ref="B2:B3"/>
    <mergeCell ref="C2:C3"/>
    <mergeCell ref="O23:O24"/>
    <mergeCell ref="O26:O27"/>
    <mergeCell ref="N14:N15"/>
    <mergeCell ref="O5:O6"/>
    <mergeCell ref="N5:N6"/>
    <mergeCell ref="E2:H2"/>
    <mergeCell ref="I2:L2"/>
    <mergeCell ref="N17:N18"/>
    <mergeCell ref="N20:N21"/>
    <mergeCell ref="N23:N24"/>
    <mergeCell ref="N26:N27"/>
    <mergeCell ref="O8:O9"/>
    <mergeCell ref="N8:N9"/>
    <mergeCell ref="P26:P27"/>
    <mergeCell ref="Q23:Q24"/>
    <mergeCell ref="Q20:Q21"/>
    <mergeCell ref="P20:P21"/>
    <mergeCell ref="Q26:Q27"/>
    <mergeCell ref="O2:Q2"/>
    <mergeCell ref="P23:P24"/>
    <mergeCell ref="O20:O21"/>
    <mergeCell ref="O17:O18"/>
    <mergeCell ref="O14:O15"/>
    <mergeCell ref="P17:P18"/>
    <mergeCell ref="Q14:Q15"/>
    <mergeCell ref="Q17:Q18"/>
    <mergeCell ref="P14:P15"/>
    <mergeCell ref="P8:P9"/>
    <mergeCell ref="O11:O12"/>
    <mergeCell ref="Q8:Q9"/>
    <mergeCell ref="Q5:Q6"/>
    <mergeCell ref="P5:P6"/>
    <mergeCell ref="Q11:Q12"/>
    <mergeCell ref="P11:P12"/>
    <mergeCell ref="N32:N33"/>
    <mergeCell ref="P29:P30"/>
    <mergeCell ref="Q32:Q33"/>
    <mergeCell ref="O32:O33"/>
    <mergeCell ref="P32:P33"/>
    <mergeCell ref="Q29:Q30"/>
    <mergeCell ref="O29:O30"/>
    <mergeCell ref="N29:N30"/>
  </mergeCells>
  <printOptions horizontalCentered="1" verticalCentered="1"/>
  <pageMargins left="0.2" right="0.2" top="0" bottom="0" header="0.3" footer="0.3"/>
  <pageSetup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Grenier</dc:creator>
  <cp:lastModifiedBy>June Poland</cp:lastModifiedBy>
  <cp:lastPrinted>2023-11-08T15:18:51Z</cp:lastPrinted>
  <dcterms:created xsi:type="dcterms:W3CDTF">2020-12-30T18:06:19Z</dcterms:created>
  <dcterms:modified xsi:type="dcterms:W3CDTF">2024-02-20T15:14:59Z</dcterms:modified>
</cp:coreProperties>
</file>